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ngular Distortion Beta Comp" sheetId="1" r:id="rId1"/>
    <sheet name="Notes" sheetId="2" r:id="rId2"/>
    <sheet name="Sheet4" sheetId="3" r:id="rId3"/>
    <sheet name="Sheet5" sheetId="4" r:id="rId4"/>
    <sheet name="Sheet6" sheetId="5" r:id="rId5"/>
  </sheets>
  <definedNames>
    <definedName name="_xlfn.STDEV.P" hidden="1">#NAME?</definedName>
    <definedName name="_xlnm.Print_Area" localSheetId="0">'Angular Distortion Beta Comp'!$C$1:$N$40</definedName>
  </definedNames>
  <calcPr fullCalcOnLoad="1"/>
</workbook>
</file>

<file path=xl/sharedStrings.xml><?xml version="1.0" encoding="utf-8"?>
<sst xmlns="http://schemas.openxmlformats.org/spreadsheetml/2006/main" count="121" uniqueCount="98">
  <si>
    <t>Beta</t>
  </si>
  <si>
    <t>Area Under</t>
  </si>
  <si>
    <t>Cumulative</t>
  </si>
  <si>
    <t>Distribution</t>
  </si>
  <si>
    <t>Prob. Curve</t>
  </si>
  <si>
    <t>Above Threshold</t>
  </si>
  <si>
    <t>Beta Distribution Parameters</t>
  </si>
  <si>
    <t>Function Value</t>
  </si>
  <si>
    <t>(Trapezoidal Method)</t>
  </si>
  <si>
    <t xml:space="preserve">Project Standard Deviation </t>
  </si>
  <si>
    <t>Computed Coeff. of Variation</t>
  </si>
  <si>
    <t>E6/E5</t>
  </si>
  <si>
    <t>Measurement Bias</t>
  </si>
  <si>
    <t>Corrected Project Expected Sett. Value</t>
  </si>
  <si>
    <t>E5/E8</t>
  </si>
  <si>
    <t>Corrected Project Standard Deviation</t>
  </si>
  <si>
    <t>E6/E8</t>
  </si>
  <si>
    <t>Coeff. of Variation for Method</t>
  </si>
  <si>
    <t>Input</t>
  </si>
  <si>
    <t>Method Standard Deviation</t>
  </si>
  <si>
    <t>E11*E9</t>
  </si>
  <si>
    <t>Coeff. of Variation for Other Factors</t>
  </si>
  <si>
    <t>Other Factor Standard Deviation</t>
  </si>
  <si>
    <t>E15*E9</t>
  </si>
  <si>
    <t>Design Standard Deviation</t>
  </si>
  <si>
    <t>SqRt(Sum of S.D. squared)</t>
  </si>
  <si>
    <t>Suggested Min. Value, a</t>
  </si>
  <si>
    <t>Average-3*Design S.D.</t>
  </si>
  <si>
    <t>Suggested Max. Value, b</t>
  </si>
  <si>
    <t>Average+3*Design S.D.</t>
  </si>
  <si>
    <t>Design Min. Value, a</t>
  </si>
  <si>
    <t>Design Max. Value, b</t>
  </si>
  <si>
    <t>D</t>
  </si>
  <si>
    <t>Beta Comp.</t>
  </si>
  <si>
    <t>V</t>
  </si>
  <si>
    <t>Alpha</t>
  </si>
  <si>
    <t>B(alpha+1,beta+1)</t>
  </si>
  <si>
    <t>Beta Constant</t>
  </si>
  <si>
    <t>Coeff. of Skewness</t>
  </si>
  <si>
    <t>Coeff. of Kurtosis</t>
  </si>
  <si>
    <t>Alpha+Beta+1</t>
  </si>
  <si>
    <t>E19+E20+1</t>
  </si>
  <si>
    <t xml:space="preserve">  Probability of Failure</t>
  </si>
  <si>
    <t>Alpha Factorial</t>
  </si>
  <si>
    <t>Beta Factorial</t>
  </si>
  <si>
    <t xml:space="preserve">  Probability of Success</t>
  </si>
  <si>
    <t xml:space="preserve">AlphaBetaOne </t>
  </si>
  <si>
    <t>AlphaBetaOneFactorial</t>
  </si>
  <si>
    <t>BETA FUNCTION</t>
  </si>
  <si>
    <t>TOTAL</t>
  </si>
  <si>
    <t>C</t>
  </si>
  <si>
    <t>BETA FORMULA IS CORRECT IF TOTAL = 1.0</t>
  </si>
  <si>
    <t xml:space="preserve"> </t>
  </si>
  <si>
    <t>Probability Program Notes: See Probability Approaches to Quantifying Risk</t>
  </si>
  <si>
    <r>
      <t xml:space="preserve">     in the Related Topics Section or Harr, Milton E., </t>
    </r>
    <r>
      <rPr>
        <u val="single"/>
        <sz val="12"/>
        <rFont val="Arial"/>
        <family val="2"/>
      </rPr>
      <t>Mechanics of Particulate Media:</t>
    </r>
    <r>
      <rPr>
        <sz val="12"/>
        <rFont val="Arial"/>
        <family val="2"/>
      </rPr>
      <t xml:space="preserve"> </t>
    </r>
  </si>
  <si>
    <r>
      <t xml:space="preserve">     </t>
    </r>
    <r>
      <rPr>
        <u val="single"/>
        <sz val="12"/>
        <rFont val="Arial"/>
        <family val="2"/>
      </rPr>
      <t>A Probabilistic Approach</t>
    </r>
    <r>
      <rPr>
        <sz val="12"/>
        <rFont val="Arial"/>
        <family val="2"/>
      </rPr>
      <t>, McGraw-Hill (1977).</t>
    </r>
  </si>
  <si>
    <t>Input values (red) for coefficient of variation for method [E11], other factors, [E13],</t>
  </si>
  <si>
    <t xml:space="preserve">    design minimum and maximum values [E18,E19].</t>
  </si>
  <si>
    <t xml:space="preserve">Input settlement values in column "F" to extend from minimum to maximum values. </t>
  </si>
  <si>
    <t>Program uses trapezoidal method to compute area under the probability curve.</t>
  </si>
  <si>
    <t>Verify that the area under probability curve equals 1.00. [H36]   This must be true if equations</t>
  </si>
  <si>
    <r>
      <t xml:space="preserve">    are correct. {</t>
    </r>
    <r>
      <rPr>
        <b/>
        <sz val="12"/>
        <rFont val="Arial"/>
        <family val="2"/>
      </rPr>
      <t>Fundamental Law of Probability</t>
    </r>
    <r>
      <rPr>
        <sz val="12"/>
        <rFont val="Arial"/>
        <family val="2"/>
      </rPr>
      <t>}</t>
    </r>
  </si>
  <si>
    <t xml:space="preserve">Input settlement values in column "K" to extend from threshold to maximum values. </t>
  </si>
  <si>
    <t>Computed area equals the probability of failure.</t>
  </si>
  <si>
    <t>Probability of success equals 1.0-probability of failure.</t>
  </si>
  <si>
    <t>Spreadsheet Template Agreement</t>
  </si>
  <si>
    <t xml:space="preserve">Although In-Situ Soil Testing, L.C. has tested the spreadsheet template for accuracy, we make no </t>
  </si>
  <si>
    <t>warranty, either implied or expressed, that the template will meet your requirements.  You may</t>
  </si>
  <si>
    <t>modify this template to suit your needs.  It is your responsibility to check the accuracy of the</t>
  </si>
  <si>
    <t>computations generated by this spreadsheet.</t>
  </si>
  <si>
    <t>In no event will In-Situ Soil Testing, L.C. be liable for any damages arising out of the use of this</t>
  </si>
  <si>
    <t>program.  By using this template, you agree to the above terms.</t>
  </si>
  <si>
    <t>Probability of Angular Distortion Exceeding Threshold Value</t>
  </si>
  <si>
    <t>Angular Distortion</t>
  </si>
  <si>
    <r>
      <t>f(x) = C (x-a)</t>
    </r>
    <r>
      <rPr>
        <vertAlign val="superscript"/>
        <sz val="12"/>
        <rFont val="Symbol"/>
        <family val="1"/>
      </rPr>
      <t>a</t>
    </r>
    <r>
      <rPr>
        <sz val="12"/>
        <rFont val="Century Schoolbook"/>
        <family val="1"/>
      </rPr>
      <t xml:space="preserve"> (b-x)</t>
    </r>
    <r>
      <rPr>
        <vertAlign val="superscript"/>
        <sz val="12"/>
        <rFont val="Symbol"/>
        <family val="1"/>
      </rPr>
      <t>b</t>
    </r>
  </si>
  <si>
    <t>Gamma Function</t>
  </si>
  <si>
    <t>The larger the value of coefficient of Kurtosis [E27], the smaller angular distortion will be.</t>
  </si>
  <si>
    <t>Angular</t>
  </si>
  <si>
    <t>Distortion</t>
  </si>
  <si>
    <t>Columns</t>
  </si>
  <si>
    <t>Between</t>
  </si>
  <si>
    <t>1-2</t>
  </si>
  <si>
    <t>1-3</t>
  </si>
  <si>
    <t>1-4</t>
  </si>
  <si>
    <t>1-5</t>
  </si>
  <si>
    <t>1-6</t>
  </si>
  <si>
    <t>2-3</t>
  </si>
  <si>
    <t>2-4</t>
  </si>
  <si>
    <t>2-5</t>
  </si>
  <si>
    <t>2-6</t>
  </si>
  <si>
    <t>3-4</t>
  </si>
  <si>
    <t>3-5</t>
  </si>
  <si>
    <t>3-6</t>
  </si>
  <si>
    <t>4-5</t>
  </si>
  <si>
    <t>4-6</t>
  </si>
  <si>
    <t>5-6</t>
  </si>
  <si>
    <t>Project Expected Angular Distortion</t>
  </si>
  <si>
    <t xml:space="preserve">Angular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</si>
</sst>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  <numFmt numFmtId="166" formatCode="0.000"/>
    <numFmt numFmtId="167" formatCode="0.0"/>
    <numFmt numFmtId="168" formatCode="0.00000"/>
    <numFmt numFmtId="169" formatCode="0.00000000"/>
    <numFmt numFmtId="170" formatCode="0.0000000"/>
    <numFmt numFmtId="171" formatCode="0.000000000"/>
    <numFmt numFmtId="172" formatCode="0.0000000000"/>
    <numFmt numFmtId="173" formatCode="0.000000E+00"/>
  </numFmts>
  <fonts count="55">
    <font>
      <sz val="8"/>
      <name val="Century Schoolbook"/>
      <family val="0"/>
    </font>
    <font>
      <b/>
      <sz val="8"/>
      <name val="Century Schoolbook"/>
      <family val="0"/>
    </font>
    <font>
      <i/>
      <sz val="8"/>
      <name val="Century Schoolbook"/>
      <family val="0"/>
    </font>
    <font>
      <b/>
      <i/>
      <sz val="8"/>
      <name val="Century Schoolbook"/>
      <family val="0"/>
    </font>
    <font>
      <sz val="8"/>
      <color indexed="10"/>
      <name val="Century Schoolbook"/>
      <family val="1"/>
    </font>
    <font>
      <sz val="8"/>
      <color indexed="12"/>
      <name val="Century Schoolbook"/>
      <family val="1"/>
    </font>
    <font>
      <b/>
      <sz val="10"/>
      <color indexed="18"/>
      <name val="Century Schoolbook"/>
      <family val="1"/>
    </font>
    <font>
      <sz val="8"/>
      <color indexed="8"/>
      <name val="Century Schoolbook"/>
      <family val="1"/>
    </font>
    <font>
      <sz val="8"/>
      <color indexed="37"/>
      <name val="Century Schoolbook"/>
      <family val="1"/>
    </font>
    <font>
      <u val="single"/>
      <sz val="10"/>
      <name val="Century Schoolbook"/>
      <family val="1"/>
    </font>
    <font>
      <b/>
      <sz val="8"/>
      <color indexed="32"/>
      <name val="Century Schoolbook"/>
      <family val="1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Century Schoolbook"/>
      <family val="1"/>
    </font>
    <font>
      <vertAlign val="superscript"/>
      <sz val="12"/>
      <name val="Symbol"/>
      <family val="1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entury Schoolbook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165" fontId="6" fillId="0" borderId="10" xfId="0" applyNumberFormat="1" applyFont="1" applyBorder="1" applyAlignment="1" applyProtection="1">
      <alignment/>
      <protection locked="0"/>
    </xf>
    <xf numFmtId="166" fontId="0" fillId="0" borderId="0" xfId="0" applyNumberFormat="1" applyBorder="1" applyAlignment="1" applyProtection="1">
      <alignment horizontal="center"/>
      <protection/>
    </xf>
    <xf numFmtId="166" fontId="0" fillId="0" borderId="0" xfId="0" applyNumberFormat="1" applyBorder="1" applyAlignment="1" applyProtection="1">
      <alignment horizontal="center"/>
      <protection locked="0"/>
    </xf>
    <xf numFmtId="166" fontId="0" fillId="0" borderId="13" xfId="0" applyNumberFormat="1" applyBorder="1" applyAlignment="1" applyProtection="1">
      <alignment horizontal="center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6" fontId="5" fillId="0" borderId="13" xfId="0" applyNumberFormat="1" applyFont="1" applyBorder="1" applyAlignment="1" applyProtection="1">
      <alignment horizontal="center"/>
      <protection locked="0"/>
    </xf>
    <xf numFmtId="166" fontId="0" fillId="0" borderId="11" xfId="0" applyNumberForma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/>
    </xf>
    <xf numFmtId="166" fontId="0" fillId="0" borderId="0" xfId="0" applyNumberFormat="1" applyBorder="1" applyAlignment="1" applyProtection="1">
      <alignment horizontal="centerContinuous"/>
      <protection locked="0"/>
    </xf>
    <xf numFmtId="166" fontId="0" fillId="0" borderId="13" xfId="0" applyNumberFormat="1" applyBorder="1" applyAlignment="1" applyProtection="1">
      <alignment horizontal="centerContinuous"/>
      <protection locked="0"/>
    </xf>
    <xf numFmtId="166" fontId="0" fillId="33" borderId="14" xfId="0" applyNumberFormat="1" applyFill="1" applyBorder="1" applyAlignment="1" applyProtection="1">
      <alignment horizontal="centerContinuous"/>
      <protection locked="0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0" fillId="34" borderId="15" xfId="0" applyFill="1" applyBorder="1" applyAlignment="1">
      <alignment/>
    </xf>
    <xf numFmtId="166" fontId="0" fillId="34" borderId="15" xfId="0" applyNumberFormat="1" applyFill="1" applyBorder="1" applyAlignment="1" applyProtection="1">
      <alignment horizontal="centerContinuous"/>
      <protection/>
    </xf>
    <xf numFmtId="166" fontId="0" fillId="34" borderId="16" xfId="0" applyNumberFormat="1" applyFill="1" applyBorder="1" applyAlignment="1" applyProtection="1">
      <alignment horizontal="centerContinuous"/>
      <protection/>
    </xf>
    <xf numFmtId="166" fontId="9" fillId="34" borderId="15" xfId="0" applyNumberFormat="1" applyFont="1" applyFill="1" applyBorder="1" applyAlignment="1" applyProtection="1">
      <alignment horizontal="centerContinuous"/>
      <protection/>
    </xf>
    <xf numFmtId="0" fontId="0" fillId="34" borderId="17" xfId="0" applyFill="1" applyBorder="1" applyAlignment="1" applyProtection="1">
      <alignment horizontal="centerContinuous"/>
      <protection/>
    </xf>
    <xf numFmtId="0" fontId="0" fillId="34" borderId="0" xfId="0" applyFill="1" applyBorder="1" applyAlignment="1" applyProtection="1">
      <alignment horizontal="center"/>
      <protection/>
    </xf>
    <xf numFmtId="166" fontId="0" fillId="34" borderId="0" xfId="0" applyNumberFormat="1" applyFill="1" applyBorder="1" applyAlignment="1" applyProtection="1">
      <alignment horizontal="center"/>
      <protection/>
    </xf>
    <xf numFmtId="166" fontId="0" fillId="34" borderId="13" xfId="0" applyNumberForma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166" fontId="0" fillId="34" borderId="0" xfId="0" applyNumberFormat="1" applyFill="1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166" fontId="0" fillId="34" borderId="13" xfId="0" applyNumberForma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166" fontId="0" fillId="34" borderId="18" xfId="0" applyNumberFormat="1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Continuous"/>
      <protection/>
    </xf>
    <xf numFmtId="166" fontId="0" fillId="34" borderId="19" xfId="0" applyNumberFormat="1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horizontal="center"/>
      <protection locked="0"/>
    </xf>
    <xf numFmtId="0" fontId="10" fillId="35" borderId="21" xfId="0" applyFont="1" applyFill="1" applyBorder="1" applyAlignment="1">
      <alignment horizontal="center"/>
    </xf>
    <xf numFmtId="166" fontId="0" fillId="34" borderId="22" xfId="0" applyNumberFormat="1" applyFill="1" applyBorder="1" applyAlignment="1" applyProtection="1">
      <alignment horizontal="centerContinuous" vertical="center"/>
      <protection locked="0"/>
    </xf>
    <xf numFmtId="166" fontId="0" fillId="34" borderId="23" xfId="0" applyNumberFormat="1" applyFill="1" applyBorder="1" applyAlignment="1" applyProtection="1">
      <alignment horizontal="centerContinuous" vertic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/>
    </xf>
    <xf numFmtId="168" fontId="0" fillId="0" borderId="0" xfId="0" applyNumberFormat="1" applyBorder="1" applyAlignment="1" applyProtection="1">
      <alignment horizontal="center"/>
      <protection/>
    </xf>
    <xf numFmtId="168" fontId="0" fillId="0" borderId="0" xfId="0" applyNumberFormat="1" applyBorder="1" applyAlignment="1" applyProtection="1">
      <alignment horizontal="center"/>
      <protection locked="0"/>
    </xf>
    <xf numFmtId="164" fontId="0" fillId="34" borderId="15" xfId="0" applyNumberFormat="1" applyFill="1" applyBorder="1" applyAlignment="1">
      <alignment horizontal="centerContinuous"/>
    </xf>
    <xf numFmtId="164" fontId="0" fillId="34" borderId="15" xfId="0" applyNumberFormat="1" applyFill="1" applyBorder="1" applyAlignment="1" applyProtection="1">
      <alignment horizontal="centerContinuous"/>
      <protection/>
    </xf>
    <xf numFmtId="164" fontId="0" fillId="34" borderId="0" xfId="0" applyNumberFormat="1" applyFill="1" applyBorder="1" applyAlignment="1" applyProtection="1">
      <alignment horizontal="center"/>
      <protection/>
    </xf>
    <xf numFmtId="164" fontId="0" fillId="34" borderId="0" xfId="0" applyNumberFormat="1" applyFill="1" applyBorder="1" applyAlignment="1" applyProtection="1">
      <alignment horizontal="center"/>
      <protection locked="0"/>
    </xf>
    <xf numFmtId="164" fontId="0" fillId="34" borderId="18" xfId="0" applyNumberFormat="1" applyFill="1" applyBorder="1" applyAlignment="1" applyProtection="1">
      <alignment horizontal="center"/>
      <protection/>
    </xf>
    <xf numFmtId="164" fontId="0" fillId="34" borderId="18" xfId="0" applyNumberFormat="1" applyFill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6" fillId="34" borderId="24" xfId="0" applyNumberFormat="1" applyFont="1" applyFill="1" applyBorder="1" applyAlignment="1" applyProtection="1">
      <alignment horizontal="left"/>
      <protection locked="0"/>
    </xf>
    <xf numFmtId="164" fontId="0" fillId="34" borderId="25" xfId="0" applyNumberFormat="1" applyFill="1" applyBorder="1" applyAlignment="1">
      <alignment horizontal="center"/>
    </xf>
    <xf numFmtId="164" fontId="6" fillId="34" borderId="26" xfId="0" applyNumberFormat="1" applyFont="1" applyFill="1" applyBorder="1" applyAlignment="1" applyProtection="1">
      <alignment horizontal="center"/>
      <protection locked="0"/>
    </xf>
    <xf numFmtId="164" fontId="6" fillId="34" borderId="27" xfId="0" applyNumberFormat="1" applyFont="1" applyFill="1" applyBorder="1" applyAlignment="1" applyProtection="1">
      <alignment horizontal="center"/>
      <protection locked="0"/>
    </xf>
    <xf numFmtId="164" fontId="0" fillId="34" borderId="0" xfId="0" applyNumberFormat="1" applyFill="1" applyAlignment="1">
      <alignment horizontal="center"/>
    </xf>
    <xf numFmtId="164" fontId="6" fillId="34" borderId="28" xfId="0" applyNumberFormat="1" applyFont="1" applyFill="1" applyBorder="1" applyAlignment="1" applyProtection="1">
      <alignment horizontal="center"/>
      <protection locked="0"/>
    </xf>
    <xf numFmtId="164" fontId="6" fillId="34" borderId="29" xfId="0" applyNumberFormat="1" applyFont="1" applyFill="1" applyBorder="1" applyAlignment="1" applyProtection="1">
      <alignment horizontal="left"/>
      <protection locked="0"/>
    </xf>
    <xf numFmtId="164" fontId="0" fillId="34" borderId="30" xfId="0" applyNumberFormat="1" applyFill="1" applyBorder="1" applyAlignment="1">
      <alignment horizontal="center"/>
    </xf>
    <xf numFmtId="164" fontId="6" fillId="34" borderId="3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34" borderId="15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/>
    </xf>
    <xf numFmtId="173" fontId="0" fillId="0" borderId="0" xfId="0" applyNumberFormat="1" applyBorder="1" applyAlignment="1" applyProtection="1">
      <alignment horizontal="center"/>
      <protection/>
    </xf>
    <xf numFmtId="168" fontId="9" fillId="34" borderId="32" xfId="0" applyNumberFormat="1" applyFont="1" applyFill="1" applyBorder="1" applyAlignment="1" applyProtection="1">
      <alignment horizontal="centerContinuous"/>
      <protection/>
    </xf>
    <xf numFmtId="168" fontId="0" fillId="34" borderId="33" xfId="0" applyNumberFormat="1" applyFont="1" applyFill="1" applyBorder="1" applyAlignment="1" applyProtection="1">
      <alignment horizontal="center"/>
      <protection locked="0"/>
    </xf>
    <xf numFmtId="168" fontId="0" fillId="0" borderId="34" xfId="0" applyNumberFormat="1" applyBorder="1" applyAlignment="1" applyProtection="1">
      <alignment horizontal="center"/>
      <protection locked="0"/>
    </xf>
    <xf numFmtId="168" fontId="0" fillId="0" borderId="34" xfId="0" applyNumberFormat="1" applyBorder="1" applyAlignment="1">
      <alignment/>
    </xf>
    <xf numFmtId="168" fontId="8" fillId="34" borderId="35" xfId="0" applyNumberFormat="1" applyFont="1" applyFill="1" applyBorder="1" applyAlignment="1" applyProtection="1">
      <alignment horizontal="centerContinuous" vertic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73" fontId="0" fillId="0" borderId="11" xfId="0" applyNumberFormat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>
      <alignment horizontal="center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168" fontId="0" fillId="0" borderId="34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6" xfId="0" applyBorder="1" applyAlignment="1">
      <alignment/>
    </xf>
    <xf numFmtId="0" fontId="0" fillId="0" borderId="36" xfId="0" applyFill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15" fillId="0" borderId="3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6" fontId="54" fillId="0" borderId="0" xfId="0" applyNumberFormat="1" applyFont="1" applyBorder="1" applyAlignment="1" applyProtection="1">
      <alignment horizontal="center"/>
      <protection locked="0"/>
    </xf>
    <xf numFmtId="164" fontId="54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168" fontId="0" fillId="34" borderId="34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49" fontId="0" fillId="36" borderId="38" xfId="0" applyNumberFormat="1" applyFill="1" applyBorder="1" applyAlignment="1" applyProtection="1">
      <alignment/>
      <protection/>
    </xf>
    <xf numFmtId="0" fontId="0" fillId="36" borderId="15" xfId="0" applyFill="1" applyBorder="1" applyAlignment="1" applyProtection="1">
      <alignment/>
      <protection/>
    </xf>
    <xf numFmtId="49" fontId="0" fillId="36" borderId="36" xfId="0" applyNumberForma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49" fontId="0" fillId="36" borderId="36" xfId="0" applyNumberFormat="1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49" fontId="0" fillId="36" borderId="39" xfId="0" applyNumberFormat="1" applyFont="1" applyFill="1" applyBorder="1" applyAlignment="1" applyProtection="1">
      <alignment/>
      <protection/>
    </xf>
    <xf numFmtId="0" fontId="0" fillId="36" borderId="18" xfId="0" applyFont="1" applyFill="1" applyBorder="1" applyAlignment="1" applyProtection="1">
      <alignment/>
      <protection/>
    </xf>
    <xf numFmtId="49" fontId="0" fillId="0" borderId="40" xfId="0" applyNumberFormat="1" applyFont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49" fontId="0" fillId="0" borderId="36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9" fontId="0" fillId="0" borderId="36" xfId="0" applyNumberFormat="1" applyBorder="1" applyAlignment="1" applyProtection="1">
      <alignment/>
      <protection/>
    </xf>
    <xf numFmtId="49" fontId="0" fillId="0" borderId="37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Beta Distribution Function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1975"/>
          <c:w val="0.9135"/>
          <c:h val="0.78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'Angular Distortion Beta Comp'!$F$5:$F$35</c:f>
              <c:numCache/>
            </c:numRef>
          </c:xVal>
          <c:yVal>
            <c:numRef>
              <c:f>'Angular Distortion Beta Comp'!$G$5:$G$35</c:f>
              <c:numCache/>
            </c:numRef>
          </c:yVal>
          <c:smooth val="0"/>
        </c:ser>
        <c:axId val="37790759"/>
        <c:axId val="4572512"/>
      </c:scatterChart>
      <c:valAx>
        <c:axId val="37790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424242"/>
                    </a:solidFill>
                  </a:rPr>
                  <a:t>Angular Distortion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572512"/>
        <c:crosses val="autoZero"/>
        <c:crossBetween val="midCat"/>
        <c:dispUnits/>
      </c:valAx>
      <c:valAx>
        <c:axId val="4572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424242"/>
                    </a:solidFill>
                  </a:rPr>
                  <a:t>Beta Value</a:t>
                </a:r>
              </a:p>
            </c:rich>
          </c:tx>
          <c:layout>
            <c:manualLayout>
              <c:xMode val="factor"/>
              <c:yMode val="factor"/>
              <c:x val="-0.01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77907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41</xdr:row>
      <xdr:rowOff>9525</xdr:rowOff>
    </xdr:from>
    <xdr:to>
      <xdr:col>10</xdr:col>
      <xdr:colOff>361950</xdr:colOff>
      <xdr:row>58</xdr:row>
      <xdr:rowOff>0</xdr:rowOff>
    </xdr:to>
    <xdr:graphicFrame>
      <xdr:nvGraphicFramePr>
        <xdr:cNvPr id="1" name="Chart 1"/>
        <xdr:cNvGraphicFramePr/>
      </xdr:nvGraphicFramePr>
      <xdr:xfrm>
        <a:off x="5105400" y="6905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9.33203125" style="95" customWidth="1"/>
    <col min="2" max="2" width="9.33203125" style="2" customWidth="1"/>
    <col min="3" max="3" width="34.66015625" style="2" customWidth="1"/>
    <col min="4" max="4" width="24" style="2" customWidth="1"/>
    <col min="5" max="5" width="16.5" style="65" customWidth="1"/>
    <col min="6" max="6" width="11.66015625" style="42" customWidth="1"/>
    <col min="7" max="7" width="14.5" style="15" customWidth="1"/>
    <col min="8" max="9" width="19.33203125" style="15" customWidth="1"/>
    <col min="10" max="10" width="4.33203125" style="15" customWidth="1"/>
    <col min="11" max="11" width="19.5" style="65" customWidth="1"/>
    <col min="12" max="12" width="17.83203125" style="65" customWidth="1"/>
    <col min="13" max="13" width="19" style="65" customWidth="1"/>
    <col min="14" max="14" width="4.5" style="2" customWidth="1"/>
    <col min="15" max="16384" width="9.33203125" style="2" customWidth="1"/>
  </cols>
  <sheetData>
    <row r="1" spans="1:14" ht="14.25" thickTop="1">
      <c r="A1" s="100"/>
      <c r="B1" s="101"/>
      <c r="C1" s="21"/>
      <c r="D1" s="21"/>
      <c r="E1" s="66"/>
      <c r="F1" s="73"/>
      <c r="G1" s="22"/>
      <c r="H1" s="22"/>
      <c r="I1" s="23"/>
      <c r="J1" s="24" t="s">
        <v>72</v>
      </c>
      <c r="K1" s="45"/>
      <c r="L1" s="46"/>
      <c r="M1" s="46"/>
      <c r="N1" s="25"/>
    </row>
    <row r="2" spans="1:14" ht="12.75">
      <c r="A2" s="102"/>
      <c r="B2" s="103"/>
      <c r="C2" s="26"/>
      <c r="D2" s="26"/>
      <c r="E2" s="47"/>
      <c r="F2" s="98"/>
      <c r="G2" s="27" t="s">
        <v>0</v>
      </c>
      <c r="H2" s="27" t="s">
        <v>1</v>
      </c>
      <c r="I2" s="28" t="s">
        <v>2</v>
      </c>
      <c r="J2" s="27"/>
      <c r="K2" s="47"/>
      <c r="L2" s="47" t="s">
        <v>0</v>
      </c>
      <c r="M2" s="47" t="s">
        <v>1</v>
      </c>
      <c r="N2" s="29"/>
    </row>
    <row r="3" spans="1:14" ht="12.75">
      <c r="A3" s="104" t="s">
        <v>80</v>
      </c>
      <c r="B3" s="105" t="s">
        <v>77</v>
      </c>
      <c r="C3" s="99"/>
      <c r="D3" s="31"/>
      <c r="E3" s="47"/>
      <c r="F3" s="98" t="s">
        <v>97</v>
      </c>
      <c r="G3" s="30" t="s">
        <v>3</v>
      </c>
      <c r="H3" s="30" t="s">
        <v>4</v>
      </c>
      <c r="I3" s="32" t="s">
        <v>3</v>
      </c>
      <c r="J3" s="30"/>
      <c r="K3" s="47" t="s">
        <v>73</v>
      </c>
      <c r="L3" s="47" t="s">
        <v>3</v>
      </c>
      <c r="M3" s="48" t="s">
        <v>4</v>
      </c>
      <c r="N3" s="33"/>
    </row>
    <row r="4" spans="1:14" ht="13.5" thickBot="1">
      <c r="A4" s="106" t="s">
        <v>79</v>
      </c>
      <c r="B4" s="107" t="s">
        <v>78</v>
      </c>
      <c r="C4" s="35" t="s">
        <v>6</v>
      </c>
      <c r="D4" s="35"/>
      <c r="E4" s="49"/>
      <c r="F4" s="74" t="s">
        <v>78</v>
      </c>
      <c r="G4" s="34" t="s">
        <v>7</v>
      </c>
      <c r="H4" s="34" t="s">
        <v>8</v>
      </c>
      <c r="I4" s="36" t="s">
        <v>7</v>
      </c>
      <c r="J4" s="34"/>
      <c r="K4" s="50" t="s">
        <v>5</v>
      </c>
      <c r="L4" s="49" t="s">
        <v>7</v>
      </c>
      <c r="M4" s="50" t="s">
        <v>8</v>
      </c>
      <c r="N4" s="37"/>
    </row>
    <row r="5" spans="1:14" ht="12.75">
      <c r="A5" s="108" t="s">
        <v>81</v>
      </c>
      <c r="B5" s="109">
        <v>0.0056</v>
      </c>
      <c r="C5" s="96" t="s">
        <v>96</v>
      </c>
      <c r="D5" s="3"/>
      <c r="E5" s="97">
        <f>AVERAGE(B5:B19)</f>
        <v>0.004346666666666667</v>
      </c>
      <c r="F5" s="75">
        <f>E18</f>
        <v>0</v>
      </c>
      <c r="G5" s="10">
        <f aca="true" t="shared" si="0" ref="G5:G30">$E$25*(F5-$E$18)^$E$22*($E$19-F5)^$E$23</f>
        <v>0</v>
      </c>
      <c r="H5" s="41"/>
      <c r="I5" s="78">
        <f>H5</f>
        <v>0</v>
      </c>
      <c r="J5" s="10"/>
      <c r="K5" s="51">
        <f>1/150</f>
        <v>0.006666666666666667</v>
      </c>
      <c r="L5" s="51">
        <f aca="true" t="shared" si="1" ref="L5:L22">$E$25*(K5-$E$16)^$E$22*($E$17-K5)^$E$23</f>
        <v>104.846107440012</v>
      </c>
      <c r="M5" s="51"/>
      <c r="N5" s="5"/>
    </row>
    <row r="6" spans="1:14" ht="12.75">
      <c r="A6" s="110" t="s">
        <v>82</v>
      </c>
      <c r="B6" s="111">
        <v>0.0032</v>
      </c>
      <c r="C6" s="86" t="s">
        <v>9</v>
      </c>
      <c r="D6" s="3"/>
      <c r="E6" s="43">
        <f>_xlfn.STDEV.P(B5:B19)</f>
        <v>0.0016780411860923502</v>
      </c>
      <c r="F6" s="75">
        <f>F5+($E$19-$E$18)/30</f>
        <v>0.00031269300749812393</v>
      </c>
      <c r="G6" s="10">
        <f t="shared" si="0"/>
        <v>3.631756872797767</v>
      </c>
      <c r="H6" s="41">
        <f aca="true" t="shared" si="2" ref="H6:H24">(F6-F5)*(G6+G5)/2</f>
        <v>0.0005678124895285577</v>
      </c>
      <c r="I6" s="78">
        <f>I5+H6</f>
        <v>0.0005678124895285577</v>
      </c>
      <c r="J6" s="10"/>
      <c r="K6" s="51">
        <f>K5+($E$19-$K$5)/20</f>
        <v>0.006802372844580519</v>
      </c>
      <c r="L6" s="51">
        <f t="shared" si="1"/>
        <v>95.62937105622026</v>
      </c>
      <c r="M6" s="51">
        <f aca="true" t="shared" si="3" ref="M6:M19">(K6-K5)*(L6+L5)/2</f>
        <v>0.013602880476087178</v>
      </c>
      <c r="N6" s="5"/>
    </row>
    <row r="7" spans="1:14" ht="12.75">
      <c r="A7" s="110" t="s">
        <v>83</v>
      </c>
      <c r="B7" s="111">
        <v>0.0054</v>
      </c>
      <c r="C7" s="87" t="s">
        <v>10</v>
      </c>
      <c r="D7" t="s">
        <v>11</v>
      </c>
      <c r="E7" s="67">
        <f>E6/E5</f>
        <v>0.38605242011327073</v>
      </c>
      <c r="F7" s="75">
        <f aca="true" t="shared" si="4" ref="F7:F34">F6+($E$19-$E$18)/30</f>
        <v>0.0006253860149962479</v>
      </c>
      <c r="G7" s="10">
        <f t="shared" si="0"/>
        <v>14.567914422173095</v>
      </c>
      <c r="H7" s="41">
        <f t="shared" si="2"/>
        <v>0.0028454549763508572</v>
      </c>
      <c r="I7" s="78">
        <f aca="true" t="shared" si="5" ref="I7:I22">I6+H7</f>
        <v>0.003413267465879415</v>
      </c>
      <c r="J7" s="10"/>
      <c r="K7" s="51">
        <f aca="true" t="shared" si="6" ref="K7:K24">K6+($E$19-$K$5)/20</f>
        <v>0.006938079022494372</v>
      </c>
      <c r="L7" s="51">
        <f t="shared" si="1"/>
        <v>86.5143388487258</v>
      </c>
      <c r="M7" s="51">
        <f t="shared" si="3"/>
        <v>0.012359013351124852</v>
      </c>
      <c r="N7" s="5"/>
    </row>
    <row r="8" spans="1:14" ht="12.75">
      <c r="A8" s="110" t="s">
        <v>84</v>
      </c>
      <c r="B8" s="111">
        <v>0.004</v>
      </c>
      <c r="C8" s="87" t="s">
        <v>12</v>
      </c>
      <c r="D8"/>
      <c r="E8" s="67">
        <v>1</v>
      </c>
      <c r="F8" s="75">
        <f t="shared" si="4"/>
        <v>0.0009380790224943718</v>
      </c>
      <c r="G8" s="10">
        <f t="shared" si="0"/>
        <v>31.490263649090018</v>
      </c>
      <c r="H8" s="41">
        <f t="shared" si="2"/>
        <v>0.0072010351104937025</v>
      </c>
      <c r="I8" s="78">
        <f t="shared" si="5"/>
        <v>0.010614302576373118</v>
      </c>
      <c r="J8" s="10"/>
      <c r="K8" s="51">
        <f t="shared" si="6"/>
        <v>0.007073785200408224</v>
      </c>
      <c r="L8" s="51">
        <f t="shared" si="1"/>
        <v>77.57006158229817</v>
      </c>
      <c r="M8" s="51">
        <f t="shared" si="3"/>
        <v>0.011133633418890156</v>
      </c>
      <c r="N8" s="5"/>
    </row>
    <row r="9" spans="1:14" ht="12.75">
      <c r="A9" s="110" t="s">
        <v>85</v>
      </c>
      <c r="B9" s="111">
        <v>0.0038</v>
      </c>
      <c r="C9" s="87" t="s">
        <v>13</v>
      </c>
      <c r="D9" t="s">
        <v>14</v>
      </c>
      <c r="E9" s="67">
        <f>E5/E8</f>
        <v>0.004346666666666667</v>
      </c>
      <c r="F9" s="75">
        <f t="shared" si="4"/>
        <v>0.0012507720299924957</v>
      </c>
      <c r="G9" s="10">
        <f t="shared" si="0"/>
        <v>52.72938234291017</v>
      </c>
      <c r="H9" s="41">
        <f t="shared" si="2"/>
        <v>0.013167447197832928</v>
      </c>
      <c r="I9" s="78">
        <f t="shared" si="5"/>
        <v>0.023781749774206044</v>
      </c>
      <c r="J9" s="10"/>
      <c r="K9" s="51">
        <f t="shared" si="6"/>
        <v>0.007209491378322076</v>
      </c>
      <c r="L9" s="51">
        <f t="shared" si="1"/>
        <v>68.86427898994704</v>
      </c>
      <c r="M9" s="51">
        <f t="shared" si="3"/>
        <v>0.009936022337197372</v>
      </c>
      <c r="N9" s="5"/>
    </row>
    <row r="10" spans="1:14" ht="12.75">
      <c r="A10" s="110" t="s">
        <v>86</v>
      </c>
      <c r="B10" s="111">
        <v>0.0022</v>
      </c>
      <c r="C10" s="87" t="s">
        <v>15</v>
      </c>
      <c r="D10" t="s">
        <v>16</v>
      </c>
      <c r="E10" s="67">
        <f>E6/E8</f>
        <v>0.0016780411860923502</v>
      </c>
      <c r="F10" s="75">
        <f t="shared" si="4"/>
        <v>0.0015634650374906195</v>
      </c>
      <c r="G10" s="10">
        <f t="shared" si="0"/>
        <v>76.61746340369668</v>
      </c>
      <c r="H10" s="41">
        <f t="shared" si="2"/>
        <v>0.0202229271034512</v>
      </c>
      <c r="I10" s="78">
        <f t="shared" si="5"/>
        <v>0.044004676877657245</v>
      </c>
      <c r="J10" s="10"/>
      <c r="K10" s="51">
        <f t="shared" si="6"/>
        <v>0.007345197556235928</v>
      </c>
      <c r="L10" s="51">
        <f t="shared" si="1"/>
        <v>60.46281968102482</v>
      </c>
      <c r="M10" s="51">
        <f t="shared" si="3"/>
        <v>0.008775243130662615</v>
      </c>
      <c r="N10" s="5"/>
    </row>
    <row r="11" spans="1:14" ht="12.75">
      <c r="A11" s="110" t="s">
        <v>87</v>
      </c>
      <c r="B11" s="111">
        <v>0.0074</v>
      </c>
      <c r="C11" s="87" t="s">
        <v>17</v>
      </c>
      <c r="D11" t="s">
        <v>18</v>
      </c>
      <c r="E11" s="68">
        <v>0</v>
      </c>
      <c r="F11" s="75">
        <f t="shared" si="4"/>
        <v>0.0018761580449887434</v>
      </c>
      <c r="G11" s="10">
        <f t="shared" si="0"/>
        <v>101.59637858738768</v>
      </c>
      <c r="H11" s="41">
        <f t="shared" si="2"/>
        <v>0.027863111114993795</v>
      </c>
      <c r="I11" s="78">
        <f t="shared" si="5"/>
        <v>0.07186778799265103</v>
      </c>
      <c r="J11" s="10"/>
      <c r="K11" s="51">
        <f t="shared" si="6"/>
        <v>0.007480903734149781</v>
      </c>
      <c r="L11" s="51">
        <f t="shared" si="1"/>
        <v>52.42895669236358</v>
      </c>
      <c r="M11" s="51">
        <f t="shared" si="3"/>
        <v>0.007660055744768934</v>
      </c>
      <c r="N11" s="5"/>
    </row>
    <row r="12" spans="1:14" ht="12.75">
      <c r="A12" s="110" t="s">
        <v>88</v>
      </c>
      <c r="B12" s="111">
        <v>0.0024</v>
      </c>
      <c r="C12" s="87" t="s">
        <v>19</v>
      </c>
      <c r="D12" t="s">
        <v>20</v>
      </c>
      <c r="E12" s="67">
        <f>E11*E9</f>
        <v>0</v>
      </c>
      <c r="F12" s="75">
        <f t="shared" si="4"/>
        <v>0.002188851052486867</v>
      </c>
      <c r="G12" s="10">
        <f t="shared" si="0"/>
        <v>126.26749543090658</v>
      </c>
      <c r="H12" s="41">
        <f t="shared" si="2"/>
        <v>0.03562572003347701</v>
      </c>
      <c r="I12" s="78">
        <f t="shared" si="5"/>
        <v>0.10749350802612805</v>
      </c>
      <c r="J12" s="10"/>
      <c r="K12" s="51">
        <f t="shared" si="6"/>
        <v>0.007616609912063633</v>
      </c>
      <c r="L12" s="51">
        <f t="shared" si="1"/>
        <v>44.82271132217123</v>
      </c>
      <c r="M12" s="51">
        <f t="shared" si="3"/>
        <v>0.006598826080999677</v>
      </c>
      <c r="N12" s="5"/>
    </row>
    <row r="13" spans="1:14" ht="12.75">
      <c r="A13" s="110" t="s">
        <v>89</v>
      </c>
      <c r="B13" s="111">
        <v>0.0034</v>
      </c>
      <c r="C13" s="87" t="s">
        <v>21</v>
      </c>
      <c r="D13" t="s">
        <v>18</v>
      </c>
      <c r="E13" s="68">
        <v>0</v>
      </c>
      <c r="F13" s="75">
        <f t="shared" si="4"/>
        <v>0.002501544059984991</v>
      </c>
      <c r="G13" s="10">
        <f t="shared" si="0"/>
        <v>149.41728230292597</v>
      </c>
      <c r="H13" s="41">
        <f t="shared" si="2"/>
        <v>0.04310235113552195</v>
      </c>
      <c r="I13" s="78">
        <f t="shared" si="5"/>
        <v>0.15059585916165</v>
      </c>
      <c r="J13" s="10"/>
      <c r="K13" s="51">
        <f t="shared" si="6"/>
        <v>0.007752316089977485</v>
      </c>
      <c r="L13" s="51">
        <f t="shared" si="1"/>
        <v>37.700095812306614</v>
      </c>
      <c r="M13" s="51">
        <f t="shared" si="3"/>
        <v>0.005599427373470983</v>
      </c>
      <c r="N13" s="5"/>
    </row>
    <row r="14" spans="1:14" ht="12.75">
      <c r="A14" s="110" t="s">
        <v>90</v>
      </c>
      <c r="B14" s="111">
        <v>0.0055</v>
      </c>
      <c r="C14" s="87" t="s">
        <v>22</v>
      </c>
      <c r="D14" t="s">
        <v>23</v>
      </c>
      <c r="E14" s="67">
        <f>E13*$E$9</f>
        <v>0</v>
      </c>
      <c r="F14" s="75">
        <f t="shared" si="4"/>
        <v>0.002814237067483115</v>
      </c>
      <c r="G14" s="10">
        <f t="shared" si="0"/>
        <v>170.03020024041626</v>
      </c>
      <c r="H14" s="41">
        <f t="shared" si="2"/>
        <v>0.04994449702709105</v>
      </c>
      <c r="I14" s="78">
        <f t="shared" si="5"/>
        <v>0.20054035618874105</v>
      </c>
      <c r="J14" s="10"/>
      <c r="K14" s="51">
        <f t="shared" si="6"/>
        <v>0.007888022267891337</v>
      </c>
      <c r="L14" s="51">
        <f t="shared" si="1"/>
        <v>31.11228256640119</v>
      </c>
      <c r="M14" s="51">
        <f t="shared" si="3"/>
        <v>0.00466913243146812</v>
      </c>
      <c r="N14" s="5"/>
    </row>
    <row r="15" spans="1:14" ht="12.75">
      <c r="A15" s="110" t="s">
        <v>91</v>
      </c>
      <c r="B15" s="111">
        <v>0.0064</v>
      </c>
      <c r="C15" s="87" t="s">
        <v>24</v>
      </c>
      <c r="D15" t="s">
        <v>25</v>
      </c>
      <c r="E15" s="69">
        <f>SQRT(E10*E10+E12*E12+E14*E14)</f>
        <v>0.0016780411860923502</v>
      </c>
      <c r="F15" s="75">
        <f t="shared" si="4"/>
        <v>0.0031269300749812387</v>
      </c>
      <c r="G15" s="10">
        <f t="shared" si="0"/>
        <v>187.29387202230757</v>
      </c>
      <c r="H15" s="41">
        <f t="shared" si="2"/>
        <v>0.05586636940365402</v>
      </c>
      <c r="I15" s="78">
        <f t="shared" si="5"/>
        <v>0.2564067255923951</v>
      </c>
      <c r="J15" s="10"/>
      <c r="K15" s="51">
        <f t="shared" si="6"/>
        <v>0.00802372844580519</v>
      </c>
      <c r="L15" s="51">
        <f t="shared" si="1"/>
        <v>25.104683494617028</v>
      </c>
      <c r="M15" s="51">
        <f t="shared" si="3"/>
        <v>0.0038144947990267903</v>
      </c>
      <c r="N15" s="5"/>
    </row>
    <row r="16" spans="1:14" ht="12.75">
      <c r="A16" s="110" t="s">
        <v>92</v>
      </c>
      <c r="B16" s="111">
        <v>0.0047</v>
      </c>
      <c r="C16" s="86" t="s">
        <v>26</v>
      </c>
      <c r="D16" s="3" t="s">
        <v>27</v>
      </c>
      <c r="E16" s="70">
        <f>MAX(E5-3*E15,0)</f>
        <v>0</v>
      </c>
      <c r="F16" s="75">
        <f t="shared" si="4"/>
        <v>0.0034396230824793625</v>
      </c>
      <c r="G16" s="10">
        <f t="shared" si="0"/>
        <v>200.59904167906987</v>
      </c>
      <c r="H16" s="41">
        <f t="shared" si="2"/>
        <v>0.060645700886246955</v>
      </c>
      <c r="I16" s="78">
        <f t="shared" si="5"/>
        <v>0.317052426478642</v>
      </c>
      <c r="J16" s="10"/>
      <c r="K16" s="51">
        <f t="shared" si="6"/>
        <v>0.008159434623719044</v>
      </c>
      <c r="L16" s="51">
        <f t="shared" si="1"/>
        <v>19.715917071133447</v>
      </c>
      <c r="M16" s="51">
        <f t="shared" si="3"/>
        <v>0.00304121619729074</v>
      </c>
      <c r="N16" s="5"/>
    </row>
    <row r="17" spans="1:14" ht="12.75">
      <c r="A17" s="110" t="s">
        <v>93</v>
      </c>
      <c r="B17" s="111">
        <v>0.0066</v>
      </c>
      <c r="C17" s="86" t="s">
        <v>28</v>
      </c>
      <c r="D17" s="3" t="s">
        <v>29</v>
      </c>
      <c r="E17" s="70">
        <f>E5+3*E15</f>
        <v>0.009380790224943718</v>
      </c>
      <c r="F17" s="75">
        <f t="shared" si="4"/>
        <v>0.0037523160899774863</v>
      </c>
      <c r="G17" s="10">
        <f t="shared" si="0"/>
        <v>209.5357189927722</v>
      </c>
      <c r="H17" s="41">
        <f t="shared" si="2"/>
        <v>0.06412313589700076</v>
      </c>
      <c r="I17" s="78">
        <f t="shared" si="5"/>
        <v>0.38117556237564276</v>
      </c>
      <c r="J17" s="10"/>
      <c r="K17" s="51">
        <f t="shared" si="6"/>
        <v>0.008295140801632897</v>
      </c>
      <c r="L17" s="51">
        <f t="shared" si="1"/>
        <v>14.976631581294617</v>
      </c>
      <c r="M17" s="51">
        <f t="shared" si="3"/>
        <v>0.002353996589855704</v>
      </c>
      <c r="N17" s="5"/>
    </row>
    <row r="18" spans="1:14" ht="12.75">
      <c r="A18" s="110" t="s">
        <v>94</v>
      </c>
      <c r="B18" s="111">
        <v>0.0021</v>
      </c>
      <c r="C18" s="87" t="s">
        <v>30</v>
      </c>
      <c r="D18" t="s">
        <v>18</v>
      </c>
      <c r="E18" s="68">
        <f>E16</f>
        <v>0</v>
      </c>
      <c r="F18" s="75">
        <f t="shared" si="4"/>
        <v>0.0040650090974756106</v>
      </c>
      <c r="G18" s="10">
        <f t="shared" si="0"/>
        <v>213.8863329349995</v>
      </c>
      <c r="H18" s="41">
        <f t="shared" si="2"/>
        <v>0.06620055742916094</v>
      </c>
      <c r="I18" s="78">
        <f t="shared" si="5"/>
        <v>0.4473761198048037</v>
      </c>
      <c r="J18" s="10"/>
      <c r="K18" s="51">
        <f t="shared" si="6"/>
        <v>0.00843084697954675</v>
      </c>
      <c r="L18" s="51">
        <f t="shared" si="1"/>
        <v>10.908138639728044</v>
      </c>
      <c r="M18" s="51">
        <f t="shared" si="3"/>
        <v>0.0017563616164366542</v>
      </c>
      <c r="N18" s="5"/>
    </row>
    <row r="19" spans="1:14" ht="12.75">
      <c r="A19" s="110" t="s">
        <v>95</v>
      </c>
      <c r="B19" s="111">
        <v>0.0025</v>
      </c>
      <c r="C19" s="87" t="s">
        <v>31</v>
      </c>
      <c r="D19" t="s">
        <v>18</v>
      </c>
      <c r="E19" s="68">
        <f>E17</f>
        <v>0.009380790224943718</v>
      </c>
      <c r="F19" s="75">
        <f t="shared" si="4"/>
        <v>0.004377702104973734</v>
      </c>
      <c r="G19" s="10">
        <f t="shared" si="0"/>
        <v>213.61639740505282</v>
      </c>
      <c r="H19" s="41">
        <f t="shared" si="2"/>
        <v>0.06683855723184519</v>
      </c>
      <c r="I19" s="78">
        <f t="shared" si="5"/>
        <v>0.5142146770366489</v>
      </c>
      <c r="J19" s="10"/>
      <c r="K19" s="51">
        <f t="shared" si="6"/>
        <v>0.008566553157460603</v>
      </c>
      <c r="L19" s="51">
        <f t="shared" si="1"/>
        <v>7.520787153020335</v>
      </c>
      <c r="M19" s="51">
        <f t="shared" si="3"/>
        <v>0.0012504595411959541</v>
      </c>
      <c r="N19" s="5"/>
    </row>
    <row r="20" spans="1:14" ht="12.75">
      <c r="A20" s="112"/>
      <c r="B20" s="111"/>
      <c r="C20" s="86" t="s">
        <v>32</v>
      </c>
      <c r="D20" s="3" t="s">
        <v>33</v>
      </c>
      <c r="E20" s="64">
        <f>(E9-E18)/(E19-E18)</f>
        <v>0.46335826326323654</v>
      </c>
      <c r="F20" s="75">
        <f t="shared" si="4"/>
        <v>0.004690395112471858</v>
      </c>
      <c r="G20" s="10">
        <f t="shared" si="0"/>
        <v>208.862996384918</v>
      </c>
      <c r="H20" s="41">
        <f t="shared" si="2"/>
        <v>0.06605317612508507</v>
      </c>
      <c r="I20" s="78">
        <f t="shared" si="5"/>
        <v>0.580267853161734</v>
      </c>
      <c r="J20" s="10"/>
      <c r="K20" s="51">
        <f t="shared" si="6"/>
        <v>0.008702259335374456</v>
      </c>
      <c r="L20" s="51">
        <f t="shared" si="1"/>
        <v>4.811965669571541</v>
      </c>
      <c r="M20" s="51">
        <f aca="true" t="shared" si="7" ref="M20:M25">(K20-K19)*(L20+L19)/2</f>
        <v>0.0008368153743551137</v>
      </c>
      <c r="N20" s="5"/>
    </row>
    <row r="21" spans="1:14" ht="12.75">
      <c r="A21" s="112"/>
      <c r="B21" s="111"/>
      <c r="C21" s="86" t="s">
        <v>34</v>
      </c>
      <c r="D21" s="3" t="s">
        <v>33</v>
      </c>
      <c r="E21" s="64">
        <f>(E15/(E19-E18))^2</f>
        <v>0.0319982615119833</v>
      </c>
      <c r="F21" s="75">
        <f t="shared" si="4"/>
        <v>0.005003088119969982</v>
      </c>
      <c r="G21" s="10">
        <f t="shared" si="0"/>
        <v>199.92126463962293</v>
      </c>
      <c r="H21" s="41">
        <f t="shared" si="2"/>
        <v>0.06391198999883088</v>
      </c>
      <c r="I21" s="78">
        <f t="shared" si="5"/>
        <v>0.6441798431605649</v>
      </c>
      <c r="J21" s="10"/>
      <c r="K21" s="51">
        <f t="shared" si="6"/>
        <v>0.00883796551328831</v>
      </c>
      <c r="L21" s="51">
        <f t="shared" si="1"/>
        <v>2.76354032413999</v>
      </c>
      <c r="M21" s="51">
        <f t="shared" si="7"/>
        <v>0.0005140214820850388</v>
      </c>
      <c r="N21" s="5"/>
    </row>
    <row r="22" spans="1:14" ht="12.75">
      <c r="A22" s="112"/>
      <c r="B22" s="111"/>
      <c r="C22" s="86" t="s">
        <v>35</v>
      </c>
      <c r="D22" s="3" t="s">
        <v>33</v>
      </c>
      <c r="E22" s="64">
        <f>E20^2/E21*(1-E20)-(1+E20)</f>
        <v>2.1373827692158534</v>
      </c>
      <c r="F22" s="75">
        <f t="shared" si="4"/>
        <v>0.005315781127468106</v>
      </c>
      <c r="G22" s="10">
        <f t="shared" si="0"/>
        <v>187.22894370338207</v>
      </c>
      <c r="H22" s="41">
        <f t="shared" si="2"/>
        <v>0.06052958150014973</v>
      </c>
      <c r="I22" s="78">
        <f t="shared" si="5"/>
        <v>0.7047094246607146</v>
      </c>
      <c r="J22" s="10"/>
      <c r="K22" s="51">
        <f t="shared" si="6"/>
        <v>0.008973671691202162</v>
      </c>
      <c r="L22" s="51">
        <f t="shared" si="1"/>
        <v>1.33836400781653</v>
      </c>
      <c r="M22" s="51">
        <f t="shared" si="7"/>
        <v>0.0002783268795290482</v>
      </c>
      <c r="N22" s="5"/>
    </row>
    <row r="23" spans="1:14" ht="12.75">
      <c r="A23" s="112"/>
      <c r="B23" s="111"/>
      <c r="C23" s="86" t="s">
        <v>0</v>
      </c>
      <c r="D23" s="3" t="s">
        <v>33</v>
      </c>
      <c r="E23" s="64">
        <f>(E22+1)/E20-(E22+2)</f>
        <v>2.6335826326323657</v>
      </c>
      <c r="F23" s="75">
        <f t="shared" si="4"/>
        <v>0.00562847413496623</v>
      </c>
      <c r="G23" s="10">
        <f t="shared" si="0"/>
        <v>171.34901330628327</v>
      </c>
      <c r="H23" s="41">
        <f t="shared" si="2"/>
        <v>0.0560624098999426</v>
      </c>
      <c r="I23" s="78">
        <f>I22+H23</f>
        <v>0.7607718345606572</v>
      </c>
      <c r="J23" s="10"/>
      <c r="K23" s="51">
        <f t="shared" si="6"/>
        <v>0.009109377869116015</v>
      </c>
      <c r="L23" s="51">
        <f>$E$25*(K23-$E$16)^$E$22*($E$17-K23)^$E$23</f>
        <v>0.47506822609032645</v>
      </c>
      <c r="M23" s="51">
        <f t="shared" si="7"/>
        <v>0.00012304697868463998</v>
      </c>
      <c r="N23" s="5"/>
    </row>
    <row r="24" spans="1:14" ht="12.75">
      <c r="A24" s="112"/>
      <c r="B24" s="111"/>
      <c r="C24" s="86" t="s">
        <v>36</v>
      </c>
      <c r="D24" s="3" t="s">
        <v>33</v>
      </c>
      <c r="E24" s="64">
        <f>E29*E30/E32</f>
        <v>0.0186937046714554</v>
      </c>
      <c r="F24" s="75">
        <f t="shared" si="4"/>
        <v>0.0059411671424643535</v>
      </c>
      <c r="G24" s="10">
        <f t="shared" si="0"/>
        <v>152.9503235195224</v>
      </c>
      <c r="H24" s="41">
        <f t="shared" si="2"/>
        <v>0.05070306748085412</v>
      </c>
      <c r="I24" s="78">
        <f>I23+H24</f>
        <v>0.8114749020415113</v>
      </c>
      <c r="J24" s="10"/>
      <c r="K24" s="51">
        <f t="shared" si="6"/>
        <v>0.009245084047029868</v>
      </c>
      <c r="L24" s="51">
        <f>$E$25*(K24-$E$16)^$E$22*($E$17-K24)^$E$23</f>
        <v>0.07901239032853215</v>
      </c>
      <c r="M24" s="51">
        <f t="shared" si="7"/>
        <v>3.7596081355177515E-05</v>
      </c>
      <c r="N24" s="5"/>
    </row>
    <row r="25" spans="1:14" ht="12.75">
      <c r="A25" s="112"/>
      <c r="B25" s="111"/>
      <c r="C25" s="86" t="s">
        <v>37</v>
      </c>
      <c r="D25" s="3" t="s">
        <v>33</v>
      </c>
      <c r="E25" s="72">
        <f>POWER((E19-E18),(-1-E22-E23))/E24</f>
        <v>26942677229444.176</v>
      </c>
      <c r="F25" s="75">
        <f t="shared" si="4"/>
        <v>0.006253860149962477</v>
      </c>
      <c r="G25" s="10">
        <f t="shared" si="0"/>
        <v>132.78607241470561</v>
      </c>
      <c r="H25" s="41">
        <f aca="true" t="shared" si="8" ref="H25:H30">(F25-F24)*(G25+G24)/2</f>
        <v>0.04467388649817422</v>
      </c>
      <c r="I25" s="78">
        <f aca="true" t="shared" si="9" ref="I25:I30">I24+H25</f>
        <v>0.8561487885396855</v>
      </c>
      <c r="J25" s="10"/>
      <c r="K25" s="51">
        <f>K24+($E$19-$K$5)/20-0.00000001</f>
        <v>0.009380780224943722</v>
      </c>
      <c r="L25" s="51">
        <f>$E$25*(K25-$E$16)^$E$22*($E$17-K25)^$E$23</f>
        <v>1.0658060538569203E-12</v>
      </c>
      <c r="M25" s="51">
        <f t="shared" si="7"/>
        <v>5.360839687781967E-06</v>
      </c>
      <c r="N25" s="5"/>
    </row>
    <row r="26" spans="1:14" ht="12.75">
      <c r="A26" s="112"/>
      <c r="B26" s="111"/>
      <c r="C26" s="86" t="s">
        <v>38</v>
      </c>
      <c r="D26" s="3" t="s">
        <v>33</v>
      </c>
      <c r="E26" s="64">
        <f>2*(E23-E22)/(E22+E23+4)*SQRT((E22+E23+3)/((E22+1)*(E23+1)))</f>
        <v>0.09341690010488461</v>
      </c>
      <c r="F26" s="75">
        <f t="shared" si="4"/>
        <v>0.006566553157460601</v>
      </c>
      <c r="G26" s="10">
        <f t="shared" si="0"/>
        <v>111.66987645851371</v>
      </c>
      <c r="H26" s="41">
        <f t="shared" si="8"/>
        <v>0.03821983292698727</v>
      </c>
      <c r="I26" s="78">
        <f t="shared" si="9"/>
        <v>0.8943686214666727</v>
      </c>
      <c r="J26" s="10"/>
      <c r="K26" s="51"/>
      <c r="L26" s="51"/>
      <c r="M26" s="51"/>
      <c r="N26" s="5"/>
    </row>
    <row r="27" spans="1:14" ht="13.5" thickBot="1">
      <c r="A27" s="112"/>
      <c r="B27" s="111"/>
      <c r="C27" s="86" t="s">
        <v>39</v>
      </c>
      <c r="D27" s="3" t="s">
        <v>33</v>
      </c>
      <c r="E27" s="64">
        <f>3*(E22+E23+3)*(2*(E22-E23)^2+(E22+1)*(E23+1)*(E22+E23+4))/((E22+1)*(E23+1)*(E22+E23+4)*(E22+E23+5))</f>
        <v>2.3976861900866213</v>
      </c>
      <c r="F27" s="75">
        <f t="shared" si="4"/>
        <v>0.006879246164958725</v>
      </c>
      <c r="G27" s="10">
        <f t="shared" si="0"/>
        <v>90.4490501013893</v>
      </c>
      <c r="H27" s="41">
        <f t="shared" si="8"/>
        <v>0.031600587509154246</v>
      </c>
      <c r="I27" s="78">
        <f t="shared" si="9"/>
        <v>0.925969208975827</v>
      </c>
      <c r="J27" s="10"/>
      <c r="K27" s="51"/>
      <c r="L27" s="51"/>
      <c r="M27" s="51"/>
      <c r="N27" s="5"/>
    </row>
    <row r="28" spans="1:14" ht="14.25" thickTop="1">
      <c r="A28" s="112"/>
      <c r="B28" s="111"/>
      <c r="C28" s="86" t="s">
        <v>40</v>
      </c>
      <c r="D28" s="3" t="s">
        <v>41</v>
      </c>
      <c r="E28" s="64">
        <f>E22+E23+1</f>
        <v>5.770965401848219</v>
      </c>
      <c r="F28" s="75">
        <f t="shared" si="4"/>
        <v>0.007191939172456849</v>
      </c>
      <c r="G28" s="10">
        <f t="shared" si="0"/>
        <v>69.97452062518634</v>
      </c>
      <c r="H28" s="41">
        <f t="shared" si="8"/>
        <v>0.025081664402040457</v>
      </c>
      <c r="I28" s="78">
        <f t="shared" si="9"/>
        <v>0.9510508733778674</v>
      </c>
      <c r="J28" s="10"/>
      <c r="K28" s="52" t="s">
        <v>42</v>
      </c>
      <c r="L28" s="53"/>
      <c r="M28" s="54">
        <f>SUM(M6:M27)</f>
        <v>0.09434593072417251</v>
      </c>
      <c r="N28" s="5"/>
    </row>
    <row r="29" spans="1:14" ht="13.5">
      <c r="A29" s="112"/>
      <c r="B29" s="111"/>
      <c r="C29" s="86" t="s">
        <v>43</v>
      </c>
      <c r="D29" s="92" t="s">
        <v>75</v>
      </c>
      <c r="E29" s="93">
        <f>EXP(GAMMALN(E22+1))</f>
        <v>2.2786518071017055</v>
      </c>
      <c r="F29" s="75">
        <f t="shared" si="4"/>
        <v>0.007504632179954973</v>
      </c>
      <c r="G29" s="10">
        <f t="shared" si="0"/>
        <v>51.06650577643572</v>
      </c>
      <c r="H29" s="41">
        <f t="shared" si="8"/>
        <v>0.018924341288091506</v>
      </c>
      <c r="I29" s="78">
        <f t="shared" si="9"/>
        <v>0.9699752146659589</v>
      </c>
      <c r="J29" s="10"/>
      <c r="K29" s="55"/>
      <c r="L29" s="56"/>
      <c r="M29" s="57"/>
      <c r="N29" s="5"/>
    </row>
    <row r="30" spans="1:14" ht="14.25" thickBot="1">
      <c r="A30" s="112"/>
      <c r="B30" s="111"/>
      <c r="C30" s="86" t="s">
        <v>44</v>
      </c>
      <c r="D30" s="92" t="s">
        <v>75</v>
      </c>
      <c r="E30" s="93">
        <f>EXP(GAMMALN(E23+1))</f>
        <v>3.862217873759909</v>
      </c>
      <c r="F30" s="75">
        <f t="shared" si="4"/>
        <v>0.007817325187453096</v>
      </c>
      <c r="G30" s="10">
        <f t="shared" si="0"/>
        <v>34.474577219382454</v>
      </c>
      <c r="H30" s="41">
        <f t="shared" si="8"/>
        <v>0.013374049253304501</v>
      </c>
      <c r="I30" s="78">
        <f t="shared" si="9"/>
        <v>0.9833492639192635</v>
      </c>
      <c r="J30" s="10"/>
      <c r="K30" s="58" t="s">
        <v>45</v>
      </c>
      <c r="L30" s="59"/>
      <c r="M30" s="60">
        <f>1-M28</f>
        <v>0.9056540692758275</v>
      </c>
      <c r="N30" s="5"/>
    </row>
    <row r="31" spans="1:14" ht="14.25" thickTop="1">
      <c r="A31" s="112"/>
      <c r="B31" s="111"/>
      <c r="C31" s="88" t="s">
        <v>46</v>
      </c>
      <c r="D31" s="3"/>
      <c r="E31" s="94">
        <f>E22+E23+1</f>
        <v>5.770965401848219</v>
      </c>
      <c r="F31" s="75">
        <f t="shared" si="4"/>
        <v>0.008130018194951221</v>
      </c>
      <c r="G31" s="10">
        <f>$E$25*(F31-$E$18)^$E$22*($E$19-F31)^$E$23</f>
        <v>20.829804200988324</v>
      </c>
      <c r="H31" s="41">
        <f>(F31-F30)*(G31+G30)/2</f>
        <v>0.008646646677079574</v>
      </c>
      <c r="I31" s="78">
        <f>I30+H31</f>
        <v>0.9919959105963431</v>
      </c>
      <c r="J31" s="10"/>
      <c r="K31" s="81"/>
      <c r="L31" s="82"/>
      <c r="M31" s="83"/>
      <c r="N31" s="5"/>
    </row>
    <row r="32" spans="1:14" ht="12.75">
      <c r="A32" s="112"/>
      <c r="B32" s="111"/>
      <c r="C32" s="86" t="s">
        <v>47</v>
      </c>
      <c r="D32" s="92" t="s">
        <v>75</v>
      </c>
      <c r="E32" s="93">
        <f>EXP(GAMMALN(E31+1))</f>
        <v>470.78146852837534</v>
      </c>
      <c r="F32" s="75">
        <f t="shared" si="4"/>
        <v>0.008442711202449346</v>
      </c>
      <c r="G32" s="10">
        <f>$E$25*(F32-$E$18)^$E$22*($E$19-F32)^$E$23</f>
        <v>10.584766791644524</v>
      </c>
      <c r="H32" s="41">
        <f>(F32-F31)*(G32+G31)/2</f>
        <v>0.004911558341474856</v>
      </c>
      <c r="I32" s="78">
        <f>I31+H32</f>
        <v>0.9969074689378179</v>
      </c>
      <c r="J32" s="10"/>
      <c r="K32" s="51"/>
      <c r="L32" s="51"/>
      <c r="M32" s="51"/>
      <c r="N32" s="5"/>
    </row>
    <row r="33" spans="1:14" ht="12.75">
      <c r="A33" s="112"/>
      <c r="B33" s="111"/>
      <c r="C33" s="86"/>
      <c r="F33" s="75">
        <f t="shared" si="4"/>
        <v>0.00875540420994747</v>
      </c>
      <c r="G33" s="10">
        <f>$E$25*(F33-$E$18)^$E$22*($E$19-F33)^$E$23</f>
        <v>3.9326817863106225</v>
      </c>
      <c r="H33" s="41">
        <f>(F33-F32)*(G33+G32)/2</f>
        <v>0.0022697523285200843</v>
      </c>
      <c r="I33" s="78">
        <f>I32+H33</f>
        <v>0.999177221266338</v>
      </c>
      <c r="J33" s="10"/>
      <c r="K33" s="51"/>
      <c r="L33" s="51"/>
      <c r="M33" s="51"/>
      <c r="N33" s="5"/>
    </row>
    <row r="34" spans="1:14" ht="12.75">
      <c r="A34" s="112"/>
      <c r="B34" s="111"/>
      <c r="C34" s="86"/>
      <c r="F34" s="75">
        <f t="shared" si="4"/>
        <v>0.009068097217445595</v>
      </c>
      <c r="G34" s="10">
        <f>$E$25*(F34-$E$18)^$E$22*($E$19-F34)^$E$23</f>
        <v>0.6830855215152473</v>
      </c>
      <c r="H34" s="41">
        <f>(F34-F33)*(G34+G33)/2</f>
        <v>0.0007216590806977967</v>
      </c>
      <c r="I34" s="78">
        <f>I33+H34</f>
        <v>0.9998988803470358</v>
      </c>
      <c r="J34" s="10"/>
      <c r="K34" s="51"/>
      <c r="L34" s="51"/>
      <c r="M34" s="51"/>
      <c r="N34" s="5"/>
    </row>
    <row r="35" spans="1:14" ht="12.75">
      <c r="A35" s="112"/>
      <c r="B35" s="111"/>
      <c r="C35" s="89"/>
      <c r="D35" s="3"/>
      <c r="E35" s="64"/>
      <c r="F35" s="75">
        <f>F34+($E$19-$E$18)/30-0.0000001</f>
        <v>0.00938069022494372</v>
      </c>
      <c r="G35" s="10">
        <f>$E$25*(F35-$E$18)^$E$22*($E$19-F35)^$E$23</f>
        <v>4.584077063076088E-10</v>
      </c>
      <c r="H35" s="41">
        <f>(F35-F34)*(G35+G34)/2</f>
        <v>0.00010676387884608578</v>
      </c>
      <c r="I35" s="78">
        <f>I34+H35</f>
        <v>1.0000056442258818</v>
      </c>
      <c r="J35" s="10"/>
      <c r="K35" s="51"/>
      <c r="L35" s="51"/>
      <c r="M35" s="51"/>
      <c r="N35" s="5"/>
    </row>
    <row r="36" spans="1:14" ht="13.5" thickBot="1">
      <c r="A36" s="112"/>
      <c r="B36" s="111"/>
      <c r="C36" s="89"/>
      <c r="D36" s="3"/>
      <c r="E36" s="64"/>
      <c r="F36" s="75"/>
      <c r="G36" s="10"/>
      <c r="H36" s="10"/>
      <c r="I36" s="11"/>
      <c r="J36" s="10"/>
      <c r="K36" s="51"/>
      <c r="L36" s="51"/>
      <c r="M36" s="51"/>
      <c r="N36" s="5"/>
    </row>
    <row r="37" spans="1:14" ht="15" thickBot="1" thickTop="1">
      <c r="A37" s="112"/>
      <c r="B37" s="111"/>
      <c r="C37" s="38" t="s">
        <v>48</v>
      </c>
      <c r="D37"/>
      <c r="E37" s="71"/>
      <c r="F37" s="76"/>
      <c r="G37" s="12" t="s">
        <v>49</v>
      </c>
      <c r="H37" s="79">
        <f>SUM(H6:H36)</f>
        <v>1.0000056442258818</v>
      </c>
      <c r="I37" s="13"/>
      <c r="J37" s="10"/>
      <c r="K37" s="61"/>
      <c r="L37" s="61"/>
      <c r="M37" s="61"/>
      <c r="N37" s="8"/>
    </row>
    <row r="38" spans="1:14" ht="14.25" thickTop="1">
      <c r="A38" s="112"/>
      <c r="B38" s="111"/>
      <c r="C38" s="87"/>
      <c r="D38" s="3"/>
      <c r="E38" s="64"/>
      <c r="F38" s="84"/>
      <c r="G38" s="2"/>
      <c r="H38" s="2"/>
      <c r="I38" s="85"/>
      <c r="J38" s="10"/>
      <c r="K38" s="61"/>
      <c r="L38" s="61"/>
      <c r="M38" s="61"/>
      <c r="N38" s="8"/>
    </row>
    <row r="39" spans="1:14" ht="18.75" thickBot="1">
      <c r="A39" s="112"/>
      <c r="B39" s="111"/>
      <c r="C39" s="91" t="s">
        <v>74</v>
      </c>
      <c r="D39" s="3"/>
      <c r="E39" s="71"/>
      <c r="F39" s="76"/>
      <c r="G39" s="16"/>
      <c r="H39" s="16"/>
      <c r="I39" s="17"/>
      <c r="J39" s="10"/>
      <c r="K39" s="61"/>
      <c r="L39" s="61"/>
      <c r="M39" s="61"/>
      <c r="N39" s="8"/>
    </row>
    <row r="40" spans="1:14" ht="13.5" thickBot="1">
      <c r="A40" s="113"/>
      <c r="B40" s="114"/>
      <c r="C40" s="90" t="s">
        <v>50</v>
      </c>
      <c r="D40" s="6"/>
      <c r="E40" s="80">
        <f>E32/(E29*E30*(E19-E18)^E28)</f>
        <v>26942677229444.176</v>
      </c>
      <c r="F40" s="77" t="s">
        <v>51</v>
      </c>
      <c r="G40" s="39"/>
      <c r="H40" s="40"/>
      <c r="I40" s="18" t="s">
        <v>52</v>
      </c>
      <c r="J40" s="14"/>
      <c r="K40" s="62"/>
      <c r="L40" s="62"/>
      <c r="M40" s="62"/>
      <c r="N40" s="7"/>
    </row>
    <row r="41" spans="3:15" ht="13.5" thickTop="1">
      <c r="C41" s="3"/>
      <c r="D41" s="3"/>
      <c r="E41" s="64"/>
      <c r="F41" s="44"/>
      <c r="G41" s="10"/>
      <c r="H41" s="10"/>
      <c r="I41" s="10"/>
      <c r="J41" s="10"/>
      <c r="K41" s="51"/>
      <c r="L41" s="51"/>
      <c r="M41" s="51"/>
      <c r="N41" s="4"/>
      <c r="O41" s="3"/>
    </row>
    <row r="42" spans="3:15" ht="12.75">
      <c r="C42" s="3"/>
      <c r="D42" s="3"/>
      <c r="E42" s="64"/>
      <c r="F42" s="44"/>
      <c r="G42" s="10"/>
      <c r="H42" s="10"/>
      <c r="I42" s="10"/>
      <c r="J42" s="10"/>
      <c r="K42" s="51"/>
      <c r="L42" s="51"/>
      <c r="M42" s="51"/>
      <c r="N42" s="4"/>
      <c r="O42" s="3"/>
    </row>
    <row r="43" spans="3:15" ht="12.75">
      <c r="C43" s="3"/>
      <c r="D43" s="3"/>
      <c r="E43" s="64"/>
      <c r="F43" s="44"/>
      <c r="G43" s="10"/>
      <c r="H43" s="10"/>
      <c r="I43" s="10"/>
      <c r="J43" s="10"/>
      <c r="K43" s="51"/>
      <c r="L43" s="51"/>
      <c r="M43" s="51"/>
      <c r="N43" s="4"/>
      <c r="O43" s="3"/>
    </row>
    <row r="44" spans="6:14" ht="12.75">
      <c r="F44" s="44"/>
      <c r="G44" s="10"/>
      <c r="H44" s="10"/>
      <c r="I44" s="10"/>
      <c r="J44" s="10"/>
      <c r="K44" s="51"/>
      <c r="L44" s="63"/>
      <c r="M44" s="63"/>
      <c r="N44" s="1"/>
    </row>
    <row r="45" spans="6:14" ht="12.75">
      <c r="F45" s="44"/>
      <c r="G45" s="10"/>
      <c r="H45" s="10"/>
      <c r="I45" s="10"/>
      <c r="J45" s="10"/>
      <c r="K45" s="51"/>
      <c r="L45" s="63"/>
      <c r="M45" s="63"/>
      <c r="N45" s="1"/>
    </row>
    <row r="46" spans="6:14" ht="12.75">
      <c r="F46" s="44"/>
      <c r="G46" s="10"/>
      <c r="H46" s="10"/>
      <c r="I46" s="10"/>
      <c r="J46" s="10"/>
      <c r="K46" s="51"/>
      <c r="L46" s="63"/>
      <c r="M46" s="63"/>
      <c r="N46" s="1"/>
    </row>
    <row r="47" spans="6:14" ht="12.75">
      <c r="F47" s="43"/>
      <c r="G47" s="9"/>
      <c r="H47" s="9"/>
      <c r="I47" s="9"/>
      <c r="J47" s="9"/>
      <c r="K47" s="51"/>
      <c r="L47" s="63"/>
      <c r="M47" s="63"/>
      <c r="N47" s="1"/>
    </row>
    <row r="48" ht="12.75">
      <c r="K48" s="64"/>
    </row>
  </sheetData>
  <sheetProtection/>
  <printOptions horizontalCentered="1" verticalCentered="1"/>
  <pageMargins left="0.5" right="0.5" top="1" bottom="1" header="0.5" footer="0.5"/>
  <pageSetup fitToHeight="0" fitToWidth="1"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6384" width="9.33203125" style="19" customWidth="1"/>
  </cols>
  <sheetData>
    <row r="1" ht="15">
      <c r="A1" s="19" t="s">
        <v>53</v>
      </c>
    </row>
    <row r="2" ht="15">
      <c r="A2" s="19" t="s">
        <v>54</v>
      </c>
    </row>
    <row r="3" ht="15">
      <c r="A3" s="19" t="s">
        <v>55</v>
      </c>
    </row>
    <row r="5" ht="15">
      <c r="A5" s="19" t="s">
        <v>56</v>
      </c>
    </row>
    <row r="6" ht="15">
      <c r="A6" s="19" t="s">
        <v>57</v>
      </c>
    </row>
    <row r="7" ht="15">
      <c r="A7" s="19" t="s">
        <v>58</v>
      </c>
    </row>
    <row r="8" ht="15">
      <c r="A8" s="19" t="s">
        <v>59</v>
      </c>
    </row>
    <row r="9" ht="15">
      <c r="A9" s="19" t="s">
        <v>60</v>
      </c>
    </row>
    <row r="10" ht="15.75">
      <c r="A10" s="19" t="s">
        <v>61</v>
      </c>
    </row>
    <row r="11" ht="15">
      <c r="A11" s="19" t="s">
        <v>62</v>
      </c>
    </row>
    <row r="12" ht="15">
      <c r="A12" s="19" t="s">
        <v>59</v>
      </c>
    </row>
    <row r="13" ht="15">
      <c r="A13" s="19" t="s">
        <v>63</v>
      </c>
    </row>
    <row r="14" ht="15">
      <c r="A14" s="19" t="s">
        <v>64</v>
      </c>
    </row>
    <row r="16" ht="15">
      <c r="A16" s="19" t="s">
        <v>76</v>
      </c>
    </row>
    <row r="19" spans="1:5" ht="15.75">
      <c r="A19" s="20" t="s">
        <v>65</v>
      </c>
      <c r="B19" s="20"/>
      <c r="C19" s="20"/>
      <c r="D19" s="20"/>
      <c r="E19" s="20"/>
    </row>
    <row r="21" ht="15">
      <c r="A21" s="19" t="s">
        <v>66</v>
      </c>
    </row>
    <row r="22" ht="15">
      <c r="A22" s="19" t="s">
        <v>67</v>
      </c>
    </row>
    <row r="23" ht="15">
      <c r="A23" s="19" t="s">
        <v>68</v>
      </c>
    </row>
    <row r="24" ht="15">
      <c r="A24" s="19" t="s">
        <v>69</v>
      </c>
    </row>
    <row r="26" ht="15">
      <c r="A26" s="19" t="s">
        <v>70</v>
      </c>
    </row>
    <row r="27" ht="15">
      <c r="A27" s="19" t="s">
        <v>71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 Failmezger</cp:lastModifiedBy>
  <cp:lastPrinted>2014-05-01T10:33:21Z</cp:lastPrinted>
  <dcterms:created xsi:type="dcterms:W3CDTF">1997-05-11T18:48:36Z</dcterms:created>
  <dcterms:modified xsi:type="dcterms:W3CDTF">2021-03-27T14:12:33Z</dcterms:modified>
  <cp:category/>
  <cp:version/>
  <cp:contentType/>
  <cp:contentStatus/>
</cp:coreProperties>
</file>